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UDGET2018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6" i="1"/>
  <c r="D58" i="1"/>
  <c r="C38" i="1"/>
  <c r="D62" i="1" l="1"/>
  <c r="D60" i="1"/>
  <c r="D56" i="1"/>
  <c r="D54" i="1"/>
  <c r="D52" i="1"/>
  <c r="G46" i="1"/>
  <c r="D44" i="1"/>
  <c r="C42" i="1"/>
  <c r="D40" i="1"/>
  <c r="D36" i="1"/>
  <c r="D34" i="1"/>
  <c r="D29" i="1"/>
  <c r="D27" i="1"/>
  <c r="D26" i="1"/>
  <c r="J22" i="1"/>
  <c r="C22" i="1" s="1"/>
  <c r="D19" i="1"/>
  <c r="D18" i="1"/>
  <c r="D17" i="1"/>
  <c r="F8" i="1"/>
  <c r="D7" i="1"/>
  <c r="C7" i="1"/>
  <c r="E8" i="1" s="1"/>
  <c r="E12" i="1" s="1"/>
  <c r="D20" i="1" l="1"/>
  <c r="D66" i="1"/>
  <c r="C66" i="1"/>
  <c r="E69" i="1" l="1"/>
  <c r="E70" i="1" s="1"/>
</calcChain>
</file>

<file path=xl/sharedStrings.xml><?xml version="1.0" encoding="utf-8"?>
<sst xmlns="http://schemas.openxmlformats.org/spreadsheetml/2006/main" count="70" uniqueCount="63">
  <si>
    <t>Analysis of Pupil Premium &amp; Catch Up Funding 2018/19</t>
  </si>
  <si>
    <t>Sept18-Aug19</t>
  </si>
  <si>
    <t>Number of Students</t>
  </si>
  <si>
    <t>as per Oct18 Census</t>
  </si>
  <si>
    <t>278 of 470 = 0.59</t>
  </si>
  <si>
    <t>Funding 2018/19</t>
  </si>
  <si>
    <t>as per Jan19 Census</t>
  </si>
  <si>
    <t>265 of 467= 0.57</t>
  </si>
  <si>
    <t>543 OF 937 = 0.58</t>
  </si>
  <si>
    <t>Catch Up Students</t>
  </si>
  <si>
    <t>Funding 2018/19 - not had 18/19 yet</t>
  </si>
  <si>
    <t>Total Funding 2016/17</t>
  </si>
  <si>
    <t>Nominal</t>
  </si>
  <si>
    <t>Actual</t>
  </si>
  <si>
    <t>Half Term Opening</t>
  </si>
  <si>
    <t>4 staff, 5 days, £21 plus on costs per hour</t>
  </si>
  <si>
    <t>Easter Opening</t>
  </si>
  <si>
    <t>4 staff, 8 days, £21 plus on costs per hour</t>
  </si>
  <si>
    <t>Afterschool Catch Up Pd 6</t>
  </si>
  <si>
    <t>72% of M6 Teacher</t>
  </si>
  <si>
    <t>YR11 PP % = 62 OF 88</t>
  </si>
  <si>
    <t>Academic Mentoring</t>
  </si>
  <si>
    <t>Nominal Staff Time</t>
  </si>
  <si>
    <t>Accelerated Reader</t>
  </si>
  <si>
    <t>58% of total cost</t>
  </si>
  <si>
    <t>renewed</t>
  </si>
  <si>
    <t>Accelerated Maths</t>
  </si>
  <si>
    <t>Lexia</t>
  </si>
  <si>
    <t>fixed 3 years</t>
  </si>
  <si>
    <t>Actual by 58%</t>
  </si>
  <si>
    <t>Assistant PL</t>
  </si>
  <si>
    <t>5 by 58%</t>
  </si>
  <si>
    <t>Rewards Scheme</t>
  </si>
  <si>
    <t>£7000 58%</t>
  </si>
  <si>
    <t>Ed Trips/Visits Etc</t>
  </si>
  <si>
    <t>Budget by % (1000 per year)</t>
  </si>
  <si>
    <t>Dr Cornes</t>
  </si>
  <si>
    <t>Guest Speakers</t>
  </si>
  <si>
    <t>Budget by 64%</t>
  </si>
  <si>
    <t>CIAG</t>
  </si>
  <si>
    <t>Careers by %</t>
  </si>
  <si>
    <t xml:space="preserve">Year7 &amp; 8 Brathay </t>
  </si>
  <si>
    <t>52.33% of total cost</t>
  </si>
  <si>
    <t>Uniform Provision</t>
  </si>
  <si>
    <t>nominal</t>
  </si>
  <si>
    <t>Family Engagement</t>
  </si>
  <si>
    <t>ECL by %</t>
  </si>
  <si>
    <t>Community Outreach Worker</t>
  </si>
  <si>
    <t>Livia Balbidova £25 6hrs pw *64%%</t>
  </si>
  <si>
    <t>anca</t>
  </si>
  <si>
    <t>Breakfast Club</t>
  </si>
  <si>
    <t>50*39 weeks</t>
  </si>
  <si>
    <t>Ed Welfare Service</t>
  </si>
  <si>
    <t>EAL Support</t>
  </si>
  <si>
    <t>RAL, AKI, NKE @ 58%</t>
  </si>
  <si>
    <t>Attendance Officer by %</t>
  </si>
  <si>
    <t>HMA @ 58%</t>
  </si>
  <si>
    <t>Totals</t>
  </si>
  <si>
    <t>GRAND TOTAL</t>
  </si>
  <si>
    <t>variance</t>
  </si>
  <si>
    <t>Jolly Phonics</t>
  </si>
  <si>
    <t>Epraise &amp; System</t>
  </si>
  <si>
    <t>Ed Psych Liv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</si>
</sst>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#,##0_ ;[Red]\-#,##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6" fontId="0" fillId="0" borderId="0" xfId="0" applyNumberFormat="1"/>
    <xf numFmtId="6" fontId="2" fillId="0" borderId="0" xfId="0" applyNumberFormat="1" applyFont="1"/>
    <xf numFmtId="0" fontId="2" fillId="0" borderId="0" xfId="0" applyFont="1"/>
    <xf numFmtId="164" fontId="0" fillId="2" borderId="0" xfId="0" applyNumberFormat="1" applyFill="1"/>
    <xf numFmtId="165" fontId="0" fillId="0" borderId="0" xfId="0" applyNumberFormat="1"/>
    <xf numFmtId="6" fontId="3" fillId="0" borderId="0" xfId="0" applyNumberFormat="1" applyFont="1"/>
    <xf numFmtId="165" fontId="4" fillId="0" borderId="0" xfId="0" applyNumberFormat="1" applyFont="1"/>
    <xf numFmtId="6" fontId="0" fillId="2" borderId="0" xfId="0" applyNumberFormat="1" applyFill="1"/>
    <xf numFmtId="6" fontId="4" fillId="0" borderId="0" xfId="0" applyNumberFormat="1" applyFont="1"/>
    <xf numFmtId="164" fontId="0" fillId="0" borderId="0" xfId="0" applyNumberFormat="1"/>
    <xf numFmtId="165" fontId="0" fillId="2" borderId="0" xfId="0" applyNumberFormat="1" applyFill="1"/>
    <xf numFmtId="6" fontId="2" fillId="2" borderId="0" xfId="0" applyNumberFormat="1" applyFont="1" applyFill="1"/>
    <xf numFmtId="6" fontId="5" fillId="2" borderId="0" xfId="0" applyNumberFormat="1" applyFont="1" applyFill="1"/>
    <xf numFmtId="0" fontId="0" fillId="2" borderId="0" xfId="0" applyFill="1"/>
    <xf numFmtId="6" fontId="2" fillId="3" borderId="0" xfId="0" applyNumberFormat="1" applyFont="1" applyFill="1"/>
    <xf numFmtId="2" fontId="0" fillId="0" borderId="0" xfId="0" applyNumberFormat="1"/>
    <xf numFmtId="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D50" sqref="D50"/>
    </sheetView>
  </sheetViews>
  <sheetFormatPr defaultRowHeight="15" x14ac:dyDescent="0.25"/>
  <cols>
    <col min="1" max="1" width="52" bestFit="1" customWidth="1"/>
    <col min="2" max="2" width="1.5703125" customWidth="1"/>
    <col min="3" max="5" width="8.5703125" bestFit="1" customWidth="1"/>
    <col min="6" max="6" width="36.7109375" bestFit="1" customWidth="1"/>
    <col min="7" max="7" width="21.42578125" bestFit="1" customWidth="1"/>
    <col min="8" max="8" width="2.140625" customWidth="1"/>
    <col min="9" max="9" width="7" customWidth="1"/>
  </cols>
  <sheetData>
    <row r="1" spans="1:7" x14ac:dyDescent="0.25">
      <c r="A1" s="1" t="s">
        <v>0</v>
      </c>
      <c r="C1" s="2"/>
      <c r="D1" s="2"/>
      <c r="E1" s="2"/>
      <c r="F1" s="2" t="s">
        <v>1</v>
      </c>
      <c r="G1" s="2"/>
    </row>
    <row r="2" spans="1:7" x14ac:dyDescent="0.25">
      <c r="C2" s="2"/>
      <c r="D2" s="2"/>
      <c r="E2" s="2"/>
      <c r="F2" s="2"/>
      <c r="G2" s="2"/>
    </row>
    <row r="3" spans="1:7" x14ac:dyDescent="0.25">
      <c r="C3" s="2"/>
      <c r="D3" s="2"/>
      <c r="E3" s="2"/>
      <c r="F3" s="2"/>
      <c r="G3" s="2"/>
    </row>
    <row r="4" spans="1:7" x14ac:dyDescent="0.25">
      <c r="C4" s="2"/>
      <c r="D4" s="2"/>
      <c r="E4" s="2"/>
      <c r="F4" s="2"/>
      <c r="G4" s="2"/>
    </row>
    <row r="5" spans="1:7" x14ac:dyDescent="0.25">
      <c r="C5" s="2"/>
      <c r="D5" s="2"/>
      <c r="E5" s="3"/>
      <c r="F5" s="2"/>
      <c r="G5" s="2"/>
    </row>
    <row r="6" spans="1:7" x14ac:dyDescent="0.25">
      <c r="A6" s="4" t="s">
        <v>2</v>
      </c>
      <c r="C6" s="5">
        <v>278</v>
      </c>
      <c r="D6" s="5">
        <v>265</v>
      </c>
      <c r="E6" s="6"/>
      <c r="F6" s="7" t="s">
        <v>3</v>
      </c>
      <c r="G6" s="8" t="s">
        <v>4</v>
      </c>
    </row>
    <row r="7" spans="1:7" x14ac:dyDescent="0.25">
      <c r="A7" s="4" t="s">
        <v>5</v>
      </c>
      <c r="C7" s="9">
        <f>SUM(C6*935)/12*7</f>
        <v>151625.83333333331</v>
      </c>
      <c r="D7" s="9">
        <f>SUM(D6*935)/12*5</f>
        <v>103239.58333333334</v>
      </c>
      <c r="E7" s="2"/>
      <c r="F7" s="7" t="s">
        <v>6</v>
      </c>
      <c r="G7" s="8" t="s">
        <v>7</v>
      </c>
    </row>
    <row r="8" spans="1:7" x14ac:dyDescent="0.25">
      <c r="C8" s="2"/>
      <c r="D8" s="2"/>
      <c r="E8" s="9">
        <f>SUM(C7+D7)</f>
        <v>254865.41666666666</v>
      </c>
      <c r="F8" s="7">
        <f>D6*935</f>
        <v>247775</v>
      </c>
      <c r="G8" s="10" t="s">
        <v>8</v>
      </c>
    </row>
    <row r="9" spans="1:7" x14ac:dyDescent="0.25">
      <c r="A9" s="4" t="s">
        <v>9</v>
      </c>
      <c r="C9" s="11"/>
      <c r="D9" s="2"/>
      <c r="E9" s="2"/>
      <c r="F9" s="2"/>
      <c r="G9" s="2"/>
    </row>
    <row r="10" spans="1:7" x14ac:dyDescent="0.25">
      <c r="A10" s="4" t="s">
        <v>10</v>
      </c>
      <c r="C10" s="2"/>
      <c r="D10" s="2"/>
      <c r="E10" s="9">
        <v>22948</v>
      </c>
      <c r="F10" s="2"/>
      <c r="G10" s="12">
        <v>58</v>
      </c>
    </row>
    <row r="11" spans="1:7" x14ac:dyDescent="0.25">
      <c r="C11" s="2"/>
      <c r="D11" s="2"/>
      <c r="E11" s="2"/>
      <c r="F11" s="2"/>
      <c r="G11" s="2"/>
    </row>
    <row r="12" spans="1:7" x14ac:dyDescent="0.25">
      <c r="A12" s="4" t="s">
        <v>11</v>
      </c>
      <c r="C12" s="2"/>
      <c r="D12" s="2"/>
      <c r="E12" s="9">
        <f>SUM(E8:E10)</f>
        <v>277813.41666666663</v>
      </c>
      <c r="F12" s="2"/>
      <c r="G12" s="2"/>
    </row>
    <row r="13" spans="1:7" x14ac:dyDescent="0.25">
      <c r="A13" s="4"/>
      <c r="C13" s="2"/>
      <c r="D13" s="2"/>
      <c r="E13" s="2"/>
      <c r="F13" s="2"/>
      <c r="G13" s="2"/>
    </row>
    <row r="14" spans="1:7" x14ac:dyDescent="0.25">
      <c r="A14" s="4"/>
      <c r="C14" s="3" t="s">
        <v>12</v>
      </c>
      <c r="D14" s="3" t="s">
        <v>13</v>
      </c>
      <c r="E14" s="2"/>
      <c r="F14" s="2"/>
      <c r="G14" s="2"/>
    </row>
    <row r="15" spans="1:7" x14ac:dyDescent="0.25">
      <c r="A15" s="4"/>
      <c r="C15" s="3"/>
      <c r="D15" s="3"/>
      <c r="E15" s="2"/>
      <c r="F15" s="2"/>
      <c r="G15" s="2"/>
    </row>
    <row r="16" spans="1:7" x14ac:dyDescent="0.25">
      <c r="C16" s="2"/>
      <c r="D16" s="2"/>
      <c r="E16" s="2"/>
      <c r="F16" s="2"/>
      <c r="G16" s="2"/>
    </row>
    <row r="17" spans="1:10" x14ac:dyDescent="0.25">
      <c r="A17" s="4" t="s">
        <v>14</v>
      </c>
      <c r="C17" s="3"/>
      <c r="D17" s="13">
        <f>SUM(4*6*5)*(21*1.033)</f>
        <v>2603.16</v>
      </c>
      <c r="E17" s="2"/>
      <c r="F17" s="2" t="s">
        <v>15</v>
      </c>
      <c r="G17" s="2"/>
    </row>
    <row r="18" spans="1:10" x14ac:dyDescent="0.25">
      <c r="A18" s="4" t="s">
        <v>16</v>
      </c>
      <c r="C18" s="3"/>
      <c r="D18" s="13">
        <f>SUM(4*6*8)*(21*1.033)</f>
        <v>4165.0559999999996</v>
      </c>
      <c r="E18" s="2"/>
      <c r="F18" s="2" t="s">
        <v>17</v>
      </c>
      <c r="G18" s="2"/>
    </row>
    <row r="19" spans="1:10" x14ac:dyDescent="0.25">
      <c r="A19" s="4" t="s">
        <v>14</v>
      </c>
      <c r="C19" s="3"/>
      <c r="D19" s="13">
        <f t="shared" ref="D19" si="0">SUM(4*6*5)*(21*1.033)</f>
        <v>2603.16</v>
      </c>
      <c r="E19" s="2"/>
      <c r="F19" s="2" t="s">
        <v>15</v>
      </c>
      <c r="G19" s="2"/>
    </row>
    <row r="20" spans="1:10" x14ac:dyDescent="0.25">
      <c r="A20" s="4"/>
      <c r="C20" s="3"/>
      <c r="D20" s="14">
        <f>SUM(D17:D19)</f>
        <v>9371.3760000000002</v>
      </c>
      <c r="E20" s="2"/>
      <c r="F20" s="2"/>
      <c r="G20" s="2"/>
    </row>
    <row r="21" spans="1:10" x14ac:dyDescent="0.25">
      <c r="A21" s="4"/>
      <c r="C21" s="3"/>
      <c r="D21" s="3"/>
      <c r="E21" s="2"/>
      <c r="F21" s="2"/>
      <c r="G21" s="2"/>
    </row>
    <row r="22" spans="1:10" x14ac:dyDescent="0.25">
      <c r="A22" s="4" t="s">
        <v>18</v>
      </c>
      <c r="C22" s="13">
        <f>44468*J22</f>
        <v>31329.727272727276</v>
      </c>
      <c r="D22" s="13"/>
      <c r="E22" s="9"/>
      <c r="F22" s="13" t="s">
        <v>19</v>
      </c>
      <c r="G22" s="13" t="s">
        <v>20</v>
      </c>
      <c r="H22" s="15"/>
      <c r="I22" s="15"/>
      <c r="J22" s="15">
        <f>62/88</f>
        <v>0.70454545454545459</v>
      </c>
    </row>
    <row r="23" spans="1:10" x14ac:dyDescent="0.25">
      <c r="A23" s="4"/>
      <c r="C23" s="3"/>
      <c r="D23" s="3"/>
      <c r="E23" s="2"/>
      <c r="F23" s="2"/>
      <c r="G23" s="2"/>
    </row>
    <row r="24" spans="1:10" x14ac:dyDescent="0.25">
      <c r="A24" s="4" t="s">
        <v>21</v>
      </c>
      <c r="C24" s="13">
        <v>5000</v>
      </c>
      <c r="D24" s="13"/>
      <c r="E24" s="9"/>
      <c r="F24" s="13" t="s">
        <v>22</v>
      </c>
      <c r="G24" s="2"/>
    </row>
    <row r="25" spans="1:10" x14ac:dyDescent="0.25">
      <c r="A25" s="4"/>
      <c r="C25" s="3"/>
      <c r="D25" s="3"/>
      <c r="E25" s="2"/>
      <c r="F25" s="2"/>
      <c r="G25" s="2"/>
    </row>
    <row r="26" spans="1:10" x14ac:dyDescent="0.25">
      <c r="A26" s="4" t="s">
        <v>23</v>
      </c>
      <c r="C26" s="3"/>
      <c r="D26" s="16">
        <f>3083.5*0.58</f>
        <v>1788.4299999999998</v>
      </c>
      <c r="E26" s="2"/>
      <c r="F26" s="3" t="s">
        <v>24</v>
      </c>
      <c r="G26" s="2" t="s">
        <v>25</v>
      </c>
    </row>
    <row r="27" spans="1:10" x14ac:dyDescent="0.25">
      <c r="A27" s="4" t="s">
        <v>26</v>
      </c>
      <c r="C27" s="3"/>
      <c r="D27" s="16">
        <f>2563*0.58</f>
        <v>1486.54</v>
      </c>
      <c r="E27" s="2"/>
      <c r="F27" s="3" t="s">
        <v>24</v>
      </c>
      <c r="G27" s="2"/>
    </row>
    <row r="28" spans="1:10" x14ac:dyDescent="0.25">
      <c r="A28" s="4"/>
      <c r="C28" s="3"/>
      <c r="D28" s="16"/>
      <c r="E28" s="2"/>
      <c r="F28" s="2"/>
      <c r="G28" s="2"/>
    </row>
    <row r="29" spans="1:10" x14ac:dyDescent="0.25">
      <c r="A29" s="4" t="s">
        <v>27</v>
      </c>
      <c r="C29" s="3"/>
      <c r="D29" s="16">
        <f>6477.4/3*0.58</f>
        <v>1252.2973333333332</v>
      </c>
      <c r="E29" s="2"/>
      <c r="F29" s="3" t="s">
        <v>24</v>
      </c>
      <c r="G29" s="2" t="s">
        <v>28</v>
      </c>
    </row>
    <row r="30" spans="1:10" x14ac:dyDescent="0.25">
      <c r="A30" s="4"/>
      <c r="C30" s="3"/>
      <c r="D30" s="3"/>
      <c r="E30" s="2"/>
      <c r="F30" s="2"/>
      <c r="G30" s="2"/>
    </row>
    <row r="31" spans="1:10" x14ac:dyDescent="0.25">
      <c r="A31" s="4" t="s">
        <v>61</v>
      </c>
      <c r="C31" s="2"/>
      <c r="D31" s="16">
        <v>1700</v>
      </c>
      <c r="E31" s="2"/>
      <c r="F31" s="3" t="s">
        <v>29</v>
      </c>
      <c r="G31" s="2"/>
    </row>
    <row r="32" spans="1:10" x14ac:dyDescent="0.25">
      <c r="A32" s="4"/>
      <c r="C32" s="3"/>
      <c r="D32" s="3"/>
      <c r="E32" s="2"/>
      <c r="F32" s="2"/>
      <c r="G32" s="2"/>
    </row>
    <row r="33" spans="1:7" x14ac:dyDescent="0.25">
      <c r="A33" s="4"/>
      <c r="C33" s="3"/>
      <c r="D33" s="3"/>
      <c r="E33" s="2"/>
      <c r="F33" s="2"/>
      <c r="G33" s="2"/>
    </row>
    <row r="34" spans="1:7" x14ac:dyDescent="0.25">
      <c r="A34" s="4" t="s">
        <v>30</v>
      </c>
      <c r="C34" s="2"/>
      <c r="D34" s="9">
        <f>SUM(28744*2+25176+30507+24156)*0.58</f>
        <v>79649.659999999989</v>
      </c>
      <c r="E34" s="2"/>
      <c r="F34" s="3" t="s">
        <v>31</v>
      </c>
      <c r="G34" s="2"/>
    </row>
    <row r="35" spans="1:7" x14ac:dyDescent="0.25">
      <c r="A35" s="4"/>
      <c r="C35" s="3"/>
      <c r="D35" s="3"/>
      <c r="E35" s="2"/>
      <c r="F35" s="2"/>
      <c r="G35" s="2"/>
    </row>
    <row r="36" spans="1:7" x14ac:dyDescent="0.25">
      <c r="A36" s="4" t="s">
        <v>32</v>
      </c>
      <c r="C36" s="2"/>
      <c r="D36" s="13">
        <f>7000*0.58</f>
        <v>4059.9999999999995</v>
      </c>
      <c r="E36" s="2"/>
      <c r="F36" s="3" t="s">
        <v>33</v>
      </c>
      <c r="G36" s="3"/>
    </row>
    <row r="37" spans="1:7" x14ac:dyDescent="0.25">
      <c r="A37" s="4"/>
      <c r="C37" s="3"/>
      <c r="D37" s="3"/>
      <c r="E37" s="2"/>
      <c r="F37" s="2"/>
      <c r="G37" s="2"/>
    </row>
    <row r="38" spans="1:7" x14ac:dyDescent="0.25">
      <c r="A38" s="4" t="s">
        <v>34</v>
      </c>
      <c r="C38" s="9">
        <f>8000*0.58</f>
        <v>4640</v>
      </c>
      <c r="D38" s="2"/>
      <c r="E38" s="2"/>
      <c r="F38" s="3" t="s">
        <v>35</v>
      </c>
      <c r="G38" s="2"/>
    </row>
    <row r="39" spans="1:7" x14ac:dyDescent="0.25">
      <c r="A39" s="4"/>
      <c r="C39" s="3"/>
      <c r="D39" s="3"/>
      <c r="E39" s="2"/>
      <c r="F39" s="2"/>
      <c r="G39" s="2"/>
    </row>
    <row r="40" spans="1:7" x14ac:dyDescent="0.25">
      <c r="A40" s="4" t="s">
        <v>36</v>
      </c>
      <c r="C40" s="3"/>
      <c r="D40" s="13">
        <f>SUM(20000*0.58)</f>
        <v>11600</v>
      </c>
      <c r="E40" s="2"/>
      <c r="F40" s="3" t="s">
        <v>24</v>
      </c>
      <c r="G40" s="2"/>
    </row>
    <row r="41" spans="1:7" x14ac:dyDescent="0.25">
      <c r="A41" s="4"/>
      <c r="C41" s="3"/>
      <c r="D41" s="3"/>
      <c r="E41" s="2"/>
      <c r="F41" s="2"/>
      <c r="G41" s="2"/>
    </row>
    <row r="42" spans="1:7" x14ac:dyDescent="0.25">
      <c r="A42" s="4" t="s">
        <v>37</v>
      </c>
      <c r="C42" s="13">
        <f>1500*0.58</f>
        <v>869.99999999999989</v>
      </c>
      <c r="D42" s="3"/>
      <c r="E42" s="2"/>
      <c r="F42" s="3" t="s">
        <v>38</v>
      </c>
      <c r="G42" s="2"/>
    </row>
    <row r="43" spans="1:7" x14ac:dyDescent="0.25">
      <c r="A43" s="4"/>
      <c r="C43" s="3"/>
      <c r="D43" s="3"/>
      <c r="E43" s="2"/>
      <c r="F43" s="2"/>
      <c r="G43" s="2"/>
    </row>
    <row r="44" spans="1:7" x14ac:dyDescent="0.25">
      <c r="A44" s="4" t="s">
        <v>39</v>
      </c>
      <c r="C44" s="2"/>
      <c r="D44" s="9">
        <f>SUM(150*39)*0.58</f>
        <v>3392.9999999999995</v>
      </c>
      <c r="E44" s="2"/>
      <c r="F44" s="3" t="s">
        <v>40</v>
      </c>
      <c r="G44" s="2"/>
    </row>
    <row r="45" spans="1:7" x14ac:dyDescent="0.25">
      <c r="A45" s="4"/>
      <c r="C45" s="3"/>
      <c r="D45" s="3"/>
      <c r="E45" s="2"/>
      <c r="F45" s="2"/>
      <c r="G45" s="2"/>
    </row>
    <row r="46" spans="1:7" x14ac:dyDescent="0.25">
      <c r="A46" s="4" t="s">
        <v>41</v>
      </c>
      <c r="C46" s="3"/>
      <c r="D46" s="13">
        <f>17000*0.5233</f>
        <v>8896.1</v>
      </c>
      <c r="E46" s="2"/>
      <c r="F46" s="3" t="s">
        <v>42</v>
      </c>
      <c r="G46" s="17">
        <f>SUM(56+58+43)/3</f>
        <v>52.333333333333336</v>
      </c>
    </row>
    <row r="47" spans="1:7" x14ac:dyDescent="0.25">
      <c r="A47" s="4"/>
      <c r="C47" s="3"/>
      <c r="D47" s="3"/>
      <c r="E47" s="2"/>
      <c r="F47" s="2"/>
      <c r="G47" s="2"/>
    </row>
    <row r="48" spans="1:7" x14ac:dyDescent="0.25">
      <c r="A48" s="4" t="s">
        <v>43</v>
      </c>
      <c r="C48" s="18">
        <v>1500</v>
      </c>
      <c r="D48" s="2"/>
      <c r="E48" s="2"/>
      <c r="F48" s="3" t="s">
        <v>44</v>
      </c>
      <c r="G48" s="2"/>
    </row>
    <row r="49" spans="1:8" x14ac:dyDescent="0.25">
      <c r="C49" s="2"/>
      <c r="D49" s="2"/>
      <c r="E49" s="2"/>
      <c r="F49" s="2"/>
      <c r="G49" s="2"/>
    </row>
    <row r="50" spans="1:8" x14ac:dyDescent="0.25">
      <c r="A50" s="4" t="s">
        <v>45</v>
      </c>
      <c r="C50" s="2"/>
      <c r="D50" s="9">
        <f>42229*0.58</f>
        <v>24492.82</v>
      </c>
      <c r="E50" s="2"/>
      <c r="F50" s="3" t="s">
        <v>46</v>
      </c>
      <c r="G50" s="2"/>
    </row>
    <row r="51" spans="1:8" x14ac:dyDescent="0.25">
      <c r="C51" s="2"/>
      <c r="D51" s="2"/>
      <c r="E51" s="2"/>
      <c r="F51" s="2"/>
      <c r="G51" s="2"/>
    </row>
    <row r="52" spans="1:8" x14ac:dyDescent="0.25">
      <c r="A52" s="4" t="s">
        <v>47</v>
      </c>
      <c r="C52" s="2"/>
      <c r="D52" s="18">
        <f>SUM(25*6*39)*0.58</f>
        <v>3392.9999999999995</v>
      </c>
      <c r="E52" s="2"/>
      <c r="F52" s="3" t="s">
        <v>48</v>
      </c>
      <c r="G52" s="2"/>
      <c r="H52" t="s">
        <v>49</v>
      </c>
    </row>
    <row r="53" spans="1:8" x14ac:dyDescent="0.25">
      <c r="C53" s="2"/>
      <c r="D53" s="2"/>
      <c r="E53" s="2"/>
      <c r="F53" s="2"/>
      <c r="G53" s="2"/>
    </row>
    <row r="54" spans="1:8" x14ac:dyDescent="0.25">
      <c r="A54" s="4" t="s">
        <v>50</v>
      </c>
      <c r="C54" s="2"/>
      <c r="D54" s="9">
        <f>SUM(50*39)+(9*5*39)</f>
        <v>3705</v>
      </c>
      <c r="E54" s="2"/>
      <c r="F54" s="3" t="s">
        <v>51</v>
      </c>
      <c r="G54" s="2"/>
    </row>
    <row r="55" spans="1:8" x14ac:dyDescent="0.25">
      <c r="C55" s="2"/>
      <c r="D55" s="2"/>
      <c r="E55" s="2"/>
      <c r="F55" s="2"/>
      <c r="G55" s="2"/>
    </row>
    <row r="56" spans="1:8" x14ac:dyDescent="0.25">
      <c r="A56" s="4" t="s">
        <v>52</v>
      </c>
      <c r="C56" s="2"/>
      <c r="D56" s="9">
        <f>SUM(22785)*0.64</f>
        <v>14582.4</v>
      </c>
      <c r="E56" s="2"/>
      <c r="F56" s="3" t="s">
        <v>24</v>
      </c>
      <c r="G56" s="2"/>
    </row>
    <row r="57" spans="1:8" x14ac:dyDescent="0.25">
      <c r="A57" s="4"/>
      <c r="C57" s="2"/>
      <c r="D57" s="9"/>
      <c r="E57" s="2"/>
      <c r="F57" s="3"/>
      <c r="G57" s="2"/>
    </row>
    <row r="58" spans="1:8" x14ac:dyDescent="0.25">
      <c r="A58" s="4" t="s">
        <v>62</v>
      </c>
      <c r="C58" s="2"/>
      <c r="D58" s="9">
        <f>4500*0.58</f>
        <v>2610</v>
      </c>
      <c r="E58" s="2"/>
      <c r="F58" s="3" t="s">
        <v>24</v>
      </c>
      <c r="G58" s="2"/>
    </row>
    <row r="59" spans="1:8" x14ac:dyDescent="0.25">
      <c r="C59" s="2"/>
      <c r="D59" s="2"/>
      <c r="E59" s="2"/>
      <c r="F59" s="2"/>
      <c r="G59" s="2"/>
    </row>
    <row r="60" spans="1:8" x14ac:dyDescent="0.25">
      <c r="A60" s="4" t="s">
        <v>53</v>
      </c>
      <c r="C60" s="2"/>
      <c r="D60" s="9">
        <f>SUM(32626+21711+12526)*0.58</f>
        <v>38780.54</v>
      </c>
      <c r="E60" s="2"/>
      <c r="F60" s="3" t="s">
        <v>54</v>
      </c>
      <c r="G60" s="2"/>
    </row>
    <row r="61" spans="1:8" x14ac:dyDescent="0.25">
      <c r="C61" s="2"/>
      <c r="D61" s="2"/>
      <c r="E61" s="2"/>
      <c r="F61" s="2"/>
      <c r="G61" s="2"/>
    </row>
    <row r="62" spans="1:8" x14ac:dyDescent="0.25">
      <c r="A62" s="4" t="s">
        <v>55</v>
      </c>
      <c r="C62" s="2"/>
      <c r="D62" s="9">
        <f>SUM(23520*0.58)</f>
        <v>13641.599999999999</v>
      </c>
      <c r="E62" s="2"/>
      <c r="F62" s="3" t="s">
        <v>56</v>
      </c>
      <c r="G62" s="2"/>
    </row>
    <row r="63" spans="1:8" x14ac:dyDescent="0.25">
      <c r="A63" s="4"/>
      <c r="C63" s="2"/>
      <c r="D63" s="9"/>
      <c r="E63" s="2"/>
      <c r="F63" s="3"/>
      <c r="G63" s="2"/>
    </row>
    <row r="64" spans="1:8" x14ac:dyDescent="0.25">
      <c r="A64" s="4" t="s">
        <v>60</v>
      </c>
      <c r="C64" s="2"/>
      <c r="D64" s="9">
        <v>700</v>
      </c>
      <c r="E64" s="2"/>
      <c r="F64" s="3"/>
      <c r="G64" s="2"/>
    </row>
    <row r="65" spans="1:7" x14ac:dyDescent="0.25">
      <c r="C65" s="2"/>
      <c r="D65" s="2"/>
      <c r="E65" s="2"/>
      <c r="F65" s="2"/>
      <c r="G65" s="2"/>
    </row>
    <row r="66" spans="1:7" x14ac:dyDescent="0.25">
      <c r="A66" s="4" t="s">
        <v>57</v>
      </c>
      <c r="C66" s="2">
        <f>SUM(C16:C65)</f>
        <v>43339.727272727279</v>
      </c>
      <c r="D66" s="2">
        <f>SUM(D16:D65)</f>
        <v>234474.13933333333</v>
      </c>
      <c r="E66" s="2"/>
      <c r="F66" s="2"/>
      <c r="G66" s="2"/>
    </row>
    <row r="67" spans="1:7" x14ac:dyDescent="0.25">
      <c r="C67" s="2"/>
      <c r="D67" s="2"/>
      <c r="E67" s="2"/>
      <c r="F67" s="2"/>
      <c r="G67" s="2"/>
    </row>
    <row r="68" spans="1:7" x14ac:dyDescent="0.25">
      <c r="C68" s="2"/>
      <c r="D68" s="2"/>
      <c r="E68" s="2"/>
      <c r="F68" s="2"/>
      <c r="G68" s="2"/>
    </row>
    <row r="69" spans="1:7" x14ac:dyDescent="0.25">
      <c r="A69" s="4" t="s">
        <v>58</v>
      </c>
      <c r="C69" s="2"/>
      <c r="D69" s="2"/>
      <c r="E69" s="2">
        <f>SUM(C66:D66)</f>
        <v>277813.86660606059</v>
      </c>
      <c r="F69" s="2"/>
      <c r="G69" s="2"/>
    </row>
    <row r="70" spans="1:7" x14ac:dyDescent="0.25">
      <c r="A70" s="4" t="s">
        <v>59</v>
      </c>
      <c r="C70" s="2"/>
      <c r="D70" s="2"/>
      <c r="E70" s="2">
        <f>E12-E69</f>
        <v>-0.44993939396226779</v>
      </c>
      <c r="F70" s="2"/>
      <c r="G70" s="2"/>
    </row>
    <row r="71" spans="1:7" x14ac:dyDescent="0.25">
      <c r="C71" s="2"/>
      <c r="D71" s="2"/>
      <c r="E71" s="2"/>
      <c r="F71" s="2"/>
      <c r="G7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Academy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D.Cain</dc:creator>
  <cp:lastModifiedBy>D.Cain</cp:lastModifiedBy>
  <dcterms:created xsi:type="dcterms:W3CDTF">2019-03-01T14:29:21Z</dcterms:created>
  <dcterms:modified xsi:type="dcterms:W3CDTF">2019-03-25T14:14:58Z</dcterms:modified>
</cp:coreProperties>
</file>